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greenwaynetwork.sharepoint.com/sites/UX/Shared Documents/General/Knowledge base/2. Useful information for owners of chargers/2.1 Basic economics of charger/"/>
    </mc:Choice>
  </mc:AlternateContent>
  <xr:revisionPtr revIDLastSave="9" documentId="8_{58F01310-799A-4466-A43D-D76A42A8DF76}" xr6:coauthVersionLast="45" xr6:coauthVersionMax="45" xr10:uidLastSave="{67111629-0E0D-458D-9396-08793611A207}"/>
  <workbookProtection workbookAlgorithmName="SHA-512" workbookHashValue="UvdCHY94mhuiFATRYyFM5NIeqBsxpKykqRueK9AdiHGREpwg3F8BOklTwh/jpUf8oZEOFWQIRls00ywtK7TErQ==" workbookSaltValue="zbTmlHab/PZ5yJIjyWZxZA==" workbookSpinCount="100000" lockStructure="1"/>
  <bookViews>
    <workbookView xWindow="-120" yWindow="-120" windowWidth="29040" windowHeight="15840" firstSheet="1" activeTab="1" xr2:uid="{2998330A-DF59-46E5-8745-82304429A06B}"/>
  </bookViews>
  <sheets>
    <sheet name="vstupy" sheetId="5" state="hidden" r:id="rId1"/>
    <sheet name="prehlad" sheetId="2" r:id="rId2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5" l="1"/>
  <c r="E27" i="5"/>
  <c r="D18" i="5"/>
  <c r="D19" i="5"/>
  <c r="F19" i="5"/>
  <c r="D20" i="5"/>
  <c r="F20" i="5"/>
  <c r="D21" i="5"/>
  <c r="F21" i="5"/>
  <c r="D22" i="5"/>
  <c r="D23" i="5"/>
  <c r="D24" i="5"/>
  <c r="F24" i="5"/>
  <c r="D25" i="5"/>
  <c r="F25" i="5"/>
  <c r="D26" i="5"/>
  <c r="D27" i="5"/>
  <c r="F27" i="5"/>
  <c r="D28" i="5"/>
  <c r="F28" i="5"/>
  <c r="D29" i="5"/>
  <c r="F29" i="5"/>
  <c r="D30" i="5"/>
  <c r="D31" i="5"/>
  <c r="F31" i="5"/>
  <c r="D32" i="5"/>
  <c r="F32" i="5"/>
  <c r="D33" i="5"/>
  <c r="F33" i="5"/>
  <c r="D34" i="5"/>
  <c r="D35" i="5"/>
  <c r="F35" i="5"/>
  <c r="D36" i="5"/>
  <c r="F36" i="5"/>
  <c r="D37" i="5"/>
  <c r="F37" i="5"/>
  <c r="D38" i="5"/>
  <c r="D39" i="5"/>
  <c r="F39" i="5"/>
  <c r="D40" i="5"/>
  <c r="F40" i="5"/>
  <c r="D41" i="5"/>
  <c r="F41" i="5"/>
  <c r="D42" i="5"/>
  <c r="D43" i="5"/>
  <c r="F43" i="5"/>
  <c r="D44" i="5"/>
  <c r="F44" i="5"/>
  <c r="D45" i="5"/>
  <c r="F45" i="5"/>
  <c r="D46" i="5"/>
  <c r="D47" i="5"/>
  <c r="F47" i="5"/>
  <c r="D48" i="5"/>
  <c r="F48" i="5"/>
  <c r="D49" i="5"/>
  <c r="F49" i="5"/>
  <c r="D50" i="5"/>
  <c r="D51" i="5"/>
  <c r="F51" i="5"/>
  <c r="D52" i="5"/>
  <c r="F52" i="5"/>
  <c r="D53" i="5"/>
  <c r="F53" i="5"/>
  <c r="D54" i="5"/>
  <c r="D55" i="5"/>
  <c r="F55" i="5"/>
  <c r="D56" i="5"/>
  <c r="F56" i="5"/>
  <c r="D57" i="5"/>
  <c r="F57" i="5"/>
  <c r="D58" i="5"/>
  <c r="D59" i="5"/>
  <c r="F59" i="5"/>
  <c r="D60" i="5"/>
  <c r="F60" i="5"/>
  <c r="D61" i="5"/>
  <c r="F61" i="5"/>
  <c r="D62" i="5"/>
  <c r="D63" i="5"/>
  <c r="F63" i="5"/>
  <c r="D64" i="5"/>
  <c r="F64" i="5"/>
  <c r="D65" i="5"/>
  <c r="F65" i="5"/>
  <c r="D66" i="5"/>
  <c r="F17" i="5"/>
  <c r="D17" i="5"/>
  <c r="E11" i="5"/>
  <c r="E12" i="5"/>
  <c r="E10" i="5"/>
  <c r="E8" i="5"/>
  <c r="D12" i="5"/>
  <c r="D9" i="5"/>
  <c r="E59" i="5"/>
  <c r="E26" i="5"/>
  <c r="E65" i="5"/>
  <c r="E61" i="5"/>
  <c r="E21" i="5"/>
  <c r="E53" i="5"/>
  <c r="E41" i="5"/>
  <c r="E20" i="5"/>
  <c r="E51" i="5"/>
  <c r="E58" i="5"/>
  <c r="E50" i="5"/>
  <c r="E42" i="5"/>
  <c r="E30" i="5"/>
  <c r="E57" i="5"/>
  <c r="E45" i="5"/>
  <c r="E33" i="5"/>
  <c r="E64" i="5"/>
  <c r="E60" i="5"/>
  <c r="E56" i="5"/>
  <c r="E52" i="5"/>
  <c r="E48" i="5"/>
  <c r="E44" i="5"/>
  <c r="E40" i="5"/>
  <c r="E36" i="5"/>
  <c r="E32" i="5"/>
  <c r="E28" i="5"/>
  <c r="E24" i="5"/>
  <c r="E54" i="5"/>
  <c r="E46" i="5"/>
  <c r="E38" i="5"/>
  <c r="E34" i="5"/>
  <c r="E49" i="5"/>
  <c r="E37" i="5"/>
  <c r="E29" i="5"/>
  <c r="E25" i="5"/>
  <c r="E17" i="5"/>
  <c r="E63" i="5"/>
  <c r="E19" i="5"/>
  <c r="E55" i="5"/>
  <c r="E47" i="5"/>
  <c r="E43" i="5"/>
  <c r="E39" i="5"/>
  <c r="E35" i="5"/>
  <c r="E31" i="5"/>
  <c r="D21" i="2"/>
  <c r="E23" i="5"/>
  <c r="E66" i="5"/>
  <c r="E62" i="5"/>
  <c r="E22" i="5"/>
  <c r="E18" i="5"/>
  <c r="F62" i="5"/>
  <c r="F54" i="5"/>
  <c r="F46" i="5"/>
  <c r="F38" i="5"/>
  <c r="F30" i="5"/>
  <c r="F22" i="5"/>
  <c r="F66" i="5"/>
  <c r="F58" i="5"/>
  <c r="F50" i="5"/>
  <c r="F42" i="5"/>
  <c r="F34" i="5"/>
  <c r="F26" i="5"/>
  <c r="F18" i="5"/>
  <c r="F23" i="5"/>
  <c r="C27" i="2"/>
  <c r="C26" i="2"/>
  <c r="D20" i="2"/>
  <c r="D3" i="5"/>
  <c r="F3" i="5"/>
  <c r="D2" i="5"/>
  <c r="F2" i="5"/>
  <c r="C4" i="5"/>
  <c r="D4" i="5"/>
  <c r="F4" i="5"/>
  <c r="F6" i="5"/>
  <c r="D19" i="2"/>
  <c r="F7" i="2"/>
  <c r="F5" i="2"/>
  <c r="F3" i="2"/>
  <c r="D17" i="2"/>
</calcChain>
</file>

<file path=xl/sharedStrings.xml><?xml version="1.0" encoding="utf-8"?>
<sst xmlns="http://schemas.openxmlformats.org/spreadsheetml/2006/main" count="42" uniqueCount="42">
  <si>
    <t>Losses of energy at the charger</t>
  </si>
  <si>
    <t>Average kWh per one charging session</t>
  </si>
  <si>
    <t>Motorest alebo iná gastro prevádzka, maloobchod</t>
  </si>
  <si>
    <t>Ubytovacie zariadenie, prenájom kancelárskych priestorov</t>
  </si>
  <si>
    <t>Typ prevádzky</t>
  </si>
  <si>
    <t>Predpokladaný finančný prínos nabíjacej stanice za mesiac</t>
  </si>
  <si>
    <t>Jednoduchý finančný model nabíjacej stanice na vašej prevádzke</t>
  </si>
  <si>
    <t>Výnosy z nabíjania ***</t>
  </si>
  <si>
    <t>*</t>
  </si>
  <si>
    <t>**</t>
  </si>
  <si>
    <t>***</t>
  </si>
  <si>
    <t>Primárnym benefitom nabíjacích staníc je schopnosť získať zákazníka s elektrickým autom. Inštaláciou nabíjacej stanice sa odlíšite od konkurencie. Preto je dôležité do kalkulácie ekonomiky nabíjacej stanice zahrnúť výnosy z primárneho predmetu vašeho podnikania, ktoré takto získate.</t>
  </si>
  <si>
    <t>Rýchle nabíjanie do hodiny</t>
  </si>
  <si>
    <t>Čas nie je dôležitý, vozidlá budú pristavené niekoľko hodín</t>
  </si>
  <si>
    <t>Posúvaním zvoľte očakávaný počet nabíjaní</t>
  </si>
  <si>
    <t>Náklady na obstaranie a správu nabíjacej stanice  *</t>
  </si>
  <si>
    <t>Náklady na elektrickú energiu **</t>
  </si>
  <si>
    <t>náklady na obstaranie nabíjacej stanice rozložené na obdobie 10 rokov</t>
  </si>
  <si>
    <t>Očakávaný počet nabíjaní týždenne</t>
  </si>
  <si>
    <t>Typ nabíjačky podľa potrieb vašich zákazníkov</t>
  </si>
  <si>
    <t>Mám už vybraný konkrétny model a poznám obstarávaciu cenu</t>
  </si>
  <si>
    <t>Z toho:</t>
  </si>
  <si>
    <t>Ďalšie finančné a nefinančné prínosy</t>
  </si>
  <si>
    <r>
      <rPr>
        <sz val="12"/>
        <color theme="1"/>
        <rFont val="Wingdings"/>
        <charset val="2"/>
      </rPr>
      <t>ü</t>
    </r>
    <r>
      <rPr>
        <sz val="14"/>
        <color theme="1"/>
        <rFont val="Calibri"/>
        <family val="2"/>
        <charset val="238"/>
        <scheme val="minor"/>
      </rPr>
      <t xml:space="preserve"> Finančný prínos zo zákazníka, ktorý navštívil prevádzku aj vďaka možnosti nabíjania elektrického vozidla</t>
    </r>
  </si>
  <si>
    <r>
      <rPr>
        <sz val="12"/>
        <color theme="1"/>
        <rFont val="Wingdings"/>
        <charset val="2"/>
      </rPr>
      <t>ü</t>
    </r>
    <r>
      <rPr>
        <sz val="14"/>
        <color theme="1"/>
        <rFont val="Calibri"/>
        <family val="2"/>
        <charset val="238"/>
        <scheme val="minor"/>
      </rPr>
      <t xml:space="preserve"> Nabíjanie vlastného elektrického vozidla alebo flotily na vlastnej nabíjačke za výhodnejšie ceny než na verejnej nabíjacej infraštruktúre</t>
    </r>
  </si>
  <si>
    <r>
      <rPr>
        <sz val="12"/>
        <color theme="1"/>
        <rFont val="Wingdings"/>
        <charset val="2"/>
      </rPr>
      <t>ü</t>
    </r>
    <r>
      <rPr>
        <sz val="14"/>
        <color theme="1"/>
        <rFont val="Calibri"/>
        <family val="2"/>
        <charset val="238"/>
        <scheme val="minor"/>
      </rPr>
      <t xml:space="preserve"> Eko imidž prevádzky/značky/spoločnosti</t>
    </r>
  </si>
  <si>
    <t>(DC rýchla nabíjačka s výkonom 50 kW)</t>
  </si>
  <si>
    <t>(AC nabíjačka s výkonom 22 kW)</t>
  </si>
  <si>
    <t>DC</t>
  </si>
  <si>
    <t>AC</t>
  </si>
  <si>
    <t>Custom</t>
  </si>
  <si>
    <t>Total</t>
  </si>
  <si>
    <t>Monthly</t>
  </si>
  <si>
    <t>GW Care</t>
  </si>
  <si>
    <t>Monhtly total</t>
  </si>
  <si>
    <t>Selected</t>
  </si>
  <si>
    <t>Revenue per kWh</t>
  </si>
  <si>
    <t>kWh delivered</t>
  </si>
  <si>
    <t>Revenues</t>
  </si>
  <si>
    <t>Energy costs</t>
  </si>
  <si>
    <t>Energy costs per kWh</t>
  </si>
  <si>
    <t>Energy connection fixed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</si>
</sst>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#,##0\ &quot;€&quot;"/>
    <numFmt numFmtId="166" formatCode="_-* #,##0.00\ [$€-1]_-;\-* #,##0.00\ [$€-1]_-;_-* &quot;-&quot;??\ [$€-1]_-;_-@_-"/>
    <numFmt numFmtId="167" formatCode="_-* #,##0\ [$€-1]_-;\-* #,##0\ [$€-1]_-;_-* &quot;-&quot;??\ [$€-1]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Wingdings"/>
      <charset val="2"/>
    </font>
    <font>
      <sz val="12"/>
      <color theme="1"/>
      <name val="Calibri"/>
      <family val="2"/>
      <charset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4" fillId="3" borderId="0" xfId="0" applyFont="1" applyFill="1"/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0" fillId="4" borderId="0" xfId="0" applyFill="1"/>
    <xf numFmtId="0" fontId="2" fillId="4" borderId="0" xfId="0" applyFont="1" applyFill="1"/>
    <xf numFmtId="165" fontId="2" fillId="4" borderId="0" xfId="0" applyNumberFormat="1" applyFont="1" applyFill="1" applyAlignment="1">
      <alignment horizontal="left"/>
    </xf>
    <xf numFmtId="0" fontId="5" fillId="4" borderId="0" xfId="0" applyFont="1" applyFill="1"/>
    <xf numFmtId="6" fontId="5" fillId="4" borderId="0" xfId="0" applyNumberFormat="1" applyFont="1" applyFill="1" applyAlignment="1">
      <alignment horizontal="left"/>
    </xf>
    <xf numFmtId="0" fontId="7" fillId="4" borderId="0" xfId="0" applyFont="1" applyFill="1"/>
    <xf numFmtId="0" fontId="8" fillId="4" borderId="0" xfId="0" applyNumberFormat="1" applyFont="1" applyFill="1" applyAlignment="1">
      <alignment wrapText="1"/>
    </xf>
    <xf numFmtId="0" fontId="0" fillId="3" borderId="2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3" borderId="5" xfId="0" applyFill="1" applyBorder="1"/>
    <xf numFmtId="0" fontId="2" fillId="3" borderId="1" xfId="0" applyFont="1" applyFill="1" applyBorder="1"/>
    <xf numFmtId="0" fontId="2" fillId="3" borderId="6" xfId="0" applyFont="1" applyFill="1" applyBorder="1"/>
    <xf numFmtId="0" fontId="8" fillId="3" borderId="1" xfId="0" applyFont="1" applyFill="1" applyBorder="1"/>
    <xf numFmtId="0" fontId="6" fillId="2" borderId="0" xfId="0" applyFont="1" applyFill="1" applyAlignment="1">
      <alignment vertical="center"/>
    </xf>
    <xf numFmtId="0" fontId="11" fillId="4" borderId="0" xfId="0" applyFont="1" applyFill="1"/>
    <xf numFmtId="0" fontId="12" fillId="0" borderId="0" xfId="0" applyFont="1"/>
    <xf numFmtId="166" fontId="0" fillId="0" borderId="0" xfId="0" applyNumberFormat="1"/>
    <xf numFmtId="167" fontId="0" fillId="0" borderId="0" xfId="0" applyNumberFormat="1"/>
    <xf numFmtId="9" fontId="0" fillId="0" borderId="0" xfId="1" applyFont="1"/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9" fillId="3" borderId="0" xfId="0" applyFont="1" applyFill="1" applyAlignment="1" applyProtection="1">
      <alignment horizontal="left"/>
      <protection locked="0"/>
    </xf>
    <xf numFmtId="44" fontId="0" fillId="0" borderId="0" xfId="2" applyFont="1"/>
    <xf numFmtId="0" fontId="2" fillId="3" borderId="3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  <xf numFmtId="164" fontId="8" fillId="5" borderId="4" xfId="0" applyNumberFormat="1" applyFont="1" applyFill="1" applyBorder="1" applyAlignment="1" applyProtection="1">
      <alignment horizontal="center" vertical="center"/>
      <protection locked="0"/>
    </xf>
    <xf numFmtId="164" fontId="8" fillId="5" borderId="6" xfId="0" applyNumberFormat="1" applyFont="1" applyFill="1" applyBorder="1" applyAlignment="1" applyProtection="1">
      <alignment horizontal="center" vertical="center"/>
      <protection locked="0"/>
    </xf>
  </cellXfs>
  <cellStyles count="3">
    <cellStyle name="Currency" xfId="2" builtinId="4"/>
    <cellStyle name="Normal" xfId="0" builtinId="0"/>
    <cellStyle name="Percent" xfId="1" builtinId="5"/>
  </cellStyles>
  <dxfs count="3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firstButton="1" fmlaLink="$F$2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Scroll" dx="31" fmlaLink="$D$11" horiz="1" max="50" min="1" page="10" val="40"/>
</file>

<file path=xl/ctrlProps/ctrlProp4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2</xdr:row>
          <xdr:rowOff>19050</xdr:rowOff>
        </xdr:from>
        <xdr:to>
          <xdr:col>3</xdr:col>
          <xdr:colOff>4362450</xdr:colOff>
          <xdr:row>3</xdr:row>
          <xdr:rowOff>209550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4</xdr:row>
          <xdr:rowOff>9525</xdr:rowOff>
        </xdr:from>
        <xdr:to>
          <xdr:col>3</xdr:col>
          <xdr:colOff>4362450</xdr:colOff>
          <xdr:row>6</xdr:row>
          <xdr:rowOff>19050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47625</xdr:rowOff>
        </xdr:from>
        <xdr:to>
          <xdr:col>3</xdr:col>
          <xdr:colOff>1885950</xdr:colOff>
          <xdr:row>13</xdr:row>
          <xdr:rowOff>171450</xdr:rowOff>
        </xdr:to>
        <xdr:sp macro="" textlink="">
          <xdr:nvSpPr>
            <xdr:cNvPr id="2055" name="Scroll Bar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219075</xdr:colOff>
          <xdr:row>6</xdr:row>
          <xdr:rowOff>19050</xdr:rowOff>
        </xdr:from>
        <xdr:to>
          <xdr:col>2</xdr:col>
          <xdr:colOff>6791325</xdr:colOff>
          <xdr:row>7</xdr:row>
          <xdr:rowOff>219075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97148-8868-4408-A2E6-D5730FDE1FE0}">
  <sheetPr codeName="Sheet3"/>
  <dimension ref="B1:F66"/>
  <sheetViews>
    <sheetView workbookViewId="0">
      <selection activeCell="C3" sqref="C3"/>
    </sheetView>
  </sheetViews>
  <sheetFormatPr defaultRowHeight="15"/>
  <cols>
    <col min="2" max="2" width="36.28515625" customWidth="1"/>
    <col min="3" max="3" width="11.7109375" bestFit="1" customWidth="1"/>
    <col min="4" max="4" width="9.28515625" bestFit="1" customWidth="1"/>
    <col min="5" max="5" width="10.42578125" customWidth="1"/>
    <col min="6" max="6" width="12.28515625" bestFit="1" customWidth="1"/>
  </cols>
  <sheetData>
    <row r="1" spans="2:6">
      <c r="C1" s="23" t="s">
        <v>31</v>
      </c>
      <c r="D1" s="23" t="s">
        <v>32</v>
      </c>
      <c r="E1" s="23" t="s">
        <v>33</v>
      </c>
      <c r="F1" s="23" t="s">
        <v>34</v>
      </c>
    </row>
    <row r="2" spans="2:6">
      <c r="B2" t="s">
        <v>28</v>
      </c>
      <c r="C2" s="25">
        <v>30100</v>
      </c>
      <c r="D2" s="25">
        <f>C2/120</f>
        <v>250.83333333333334</v>
      </c>
      <c r="E2" s="25">
        <v>30</v>
      </c>
      <c r="F2" s="25">
        <f>D2+E2</f>
        <v>280.83333333333337</v>
      </c>
    </row>
    <row r="3" spans="2:6">
      <c r="B3" t="s">
        <v>29</v>
      </c>
      <c r="C3" s="25">
        <v>2900</v>
      </c>
      <c r="D3" s="25">
        <f t="shared" ref="D3" si="0">C3/120</f>
        <v>24.166666666666668</v>
      </c>
      <c r="E3" s="25">
        <v>30</v>
      </c>
      <c r="F3" s="25">
        <f t="shared" ref="F3:F4" si="1">D3+E3</f>
        <v>54.166666666666671</v>
      </c>
    </row>
    <row r="4" spans="2:6">
      <c r="B4" t="s">
        <v>30</v>
      </c>
      <c r="C4" s="25">
        <f>prehlad!D7</f>
        <v>0</v>
      </c>
      <c r="D4" s="25">
        <f>C4/120</f>
        <v>0</v>
      </c>
      <c r="E4" s="25">
        <v>30</v>
      </c>
      <c r="F4" s="25">
        <f t="shared" si="1"/>
        <v>30</v>
      </c>
    </row>
    <row r="5" spans="2:6">
      <c r="C5" s="25"/>
      <c r="D5" s="25"/>
      <c r="E5" s="25"/>
      <c r="F5" s="25"/>
    </row>
    <row r="6" spans="2:6">
      <c r="B6" t="s">
        <v>35</v>
      </c>
      <c r="C6" s="25"/>
      <c r="D6" s="25"/>
      <c r="E6" s="25"/>
      <c r="F6" s="25">
        <f>IF(prehlad!F2=1,F2,IF(prehlad!F2=2,F3,IF(prehlad!D7&gt;0,F4,0)))</f>
        <v>54.166666666666671</v>
      </c>
    </row>
    <row r="8" spans="2:6">
      <c r="B8" t="s">
        <v>40</v>
      </c>
      <c r="C8" s="24">
        <v>0.1229</v>
      </c>
      <c r="D8" s="24">
        <v>0.1229</v>
      </c>
      <c r="E8" s="24">
        <f>C8</f>
        <v>0.1229</v>
      </c>
    </row>
    <row r="9" spans="2:6">
      <c r="B9" t="s">
        <v>36</v>
      </c>
      <c r="C9" s="24">
        <v>0.38</v>
      </c>
      <c r="D9" s="30">
        <f>0.25/1.2</f>
        <v>0.20833333333333334</v>
      </c>
      <c r="E9" s="30">
        <f>IF(prehlad!F2=1,C9,IF(prehlad!F2=2,D9,IF(prehlad!D7&gt;0,AVERAGE(C9:D9),0)))-0.05</f>
        <v>0.15833333333333333</v>
      </c>
    </row>
    <row r="10" spans="2:6">
      <c r="B10" t="s">
        <v>1</v>
      </c>
      <c r="C10">
        <v>19.399999999999999</v>
      </c>
      <c r="D10">
        <v>19.399999999999999</v>
      </c>
      <c r="E10">
        <f>C10</f>
        <v>19.399999999999999</v>
      </c>
    </row>
    <row r="11" spans="2:6">
      <c r="B11" t="s">
        <v>0</v>
      </c>
      <c r="C11" s="26">
        <v>0.11899999999999999</v>
      </c>
      <c r="D11" s="26">
        <v>0.11899999999999999</v>
      </c>
      <c r="E11" s="26">
        <f>C11</f>
        <v>0.11899999999999999</v>
      </c>
    </row>
    <row r="12" spans="2:6">
      <c r="B12" t="s">
        <v>41</v>
      </c>
      <c r="C12" s="24">
        <v>68.5</v>
      </c>
      <c r="D12" s="24">
        <f>69.5/2</f>
        <v>34.75</v>
      </c>
      <c r="E12" s="24">
        <f>IF(prehlad!F2=1,C12,IF(prehlad!F2=2,D12,IF(prehlad!D7&gt;0,AVERAGE(C12:D12),0)))</f>
        <v>34.75</v>
      </c>
    </row>
    <row r="16" spans="2:6">
      <c r="D16" t="s">
        <v>37</v>
      </c>
      <c r="E16" t="s">
        <v>38</v>
      </c>
      <c r="F16" t="s">
        <v>39</v>
      </c>
    </row>
    <row r="17" spans="3:6">
      <c r="C17">
        <v>1</v>
      </c>
      <c r="D17">
        <f>C17*$E$10*4.5</f>
        <v>87.3</v>
      </c>
      <c r="E17" s="24">
        <f>D17*$E$9</f>
        <v>13.8225</v>
      </c>
      <c r="F17" s="24">
        <f>D17*(1+$E$11)*$E$8</f>
        <v>12.005941229999999</v>
      </c>
    </row>
    <row r="18" spans="3:6">
      <c r="C18">
        <v>2</v>
      </c>
      <c r="D18">
        <f t="shared" ref="D18:D66" si="2">C18*$E$10*4.5</f>
        <v>174.6</v>
      </c>
      <c r="E18" s="24">
        <f t="shared" ref="E18:E66" si="3">D18*$E$9</f>
        <v>27.645</v>
      </c>
      <c r="F18" s="24">
        <f t="shared" ref="F18:F66" si="4">D18*(1+$E$11)*$E$8</f>
        <v>24.011882459999999</v>
      </c>
    </row>
    <row r="19" spans="3:6">
      <c r="C19">
        <v>3</v>
      </c>
      <c r="D19">
        <f t="shared" si="2"/>
        <v>261.89999999999998</v>
      </c>
      <c r="E19" s="24">
        <f t="shared" si="3"/>
        <v>41.467499999999994</v>
      </c>
      <c r="F19" s="24">
        <f t="shared" si="4"/>
        <v>36.017823689999993</v>
      </c>
    </row>
    <row r="20" spans="3:6">
      <c r="C20">
        <v>4</v>
      </c>
      <c r="D20">
        <f t="shared" si="2"/>
        <v>349.2</v>
      </c>
      <c r="E20" s="24">
        <f t="shared" si="3"/>
        <v>55.29</v>
      </c>
      <c r="F20" s="24">
        <f t="shared" si="4"/>
        <v>48.023764919999998</v>
      </c>
    </row>
    <row r="21" spans="3:6">
      <c r="C21">
        <v>5</v>
      </c>
      <c r="D21">
        <f t="shared" si="2"/>
        <v>436.5</v>
      </c>
      <c r="E21" s="24">
        <f t="shared" si="3"/>
        <v>69.112499999999997</v>
      </c>
      <c r="F21" s="24">
        <f t="shared" si="4"/>
        <v>60.029706149999996</v>
      </c>
    </row>
    <row r="22" spans="3:6">
      <c r="C22">
        <v>6</v>
      </c>
      <c r="D22">
        <f t="shared" si="2"/>
        <v>523.79999999999995</v>
      </c>
      <c r="E22" s="24">
        <f t="shared" si="3"/>
        <v>82.934999999999988</v>
      </c>
      <c r="F22" s="24">
        <f t="shared" si="4"/>
        <v>72.035647379999986</v>
      </c>
    </row>
    <row r="23" spans="3:6">
      <c r="C23">
        <v>7</v>
      </c>
      <c r="D23">
        <f t="shared" si="2"/>
        <v>611.09999999999991</v>
      </c>
      <c r="E23" s="24">
        <f t="shared" si="3"/>
        <v>96.757499999999979</v>
      </c>
      <c r="F23" s="24">
        <f t="shared" si="4"/>
        <v>84.041588609999991</v>
      </c>
    </row>
    <row r="24" spans="3:6">
      <c r="C24">
        <v>8</v>
      </c>
      <c r="D24">
        <f t="shared" si="2"/>
        <v>698.4</v>
      </c>
      <c r="E24" s="24">
        <f t="shared" si="3"/>
        <v>110.58</v>
      </c>
      <c r="F24" s="24">
        <f t="shared" si="4"/>
        <v>96.047529839999996</v>
      </c>
    </row>
    <row r="25" spans="3:6">
      <c r="C25">
        <v>9</v>
      </c>
      <c r="D25">
        <f t="shared" si="2"/>
        <v>785.69999999999993</v>
      </c>
      <c r="E25" s="24">
        <f t="shared" si="3"/>
        <v>124.40249999999999</v>
      </c>
      <c r="F25" s="24">
        <f t="shared" si="4"/>
        <v>108.05347106999999</v>
      </c>
    </row>
    <row r="26" spans="3:6">
      <c r="C26">
        <v>10</v>
      </c>
      <c r="D26">
        <f t="shared" si="2"/>
        <v>873</v>
      </c>
      <c r="E26" s="24">
        <f t="shared" si="3"/>
        <v>138.22499999999999</v>
      </c>
      <c r="F26" s="24">
        <f t="shared" si="4"/>
        <v>120.05941229999999</v>
      </c>
    </row>
    <row r="27" spans="3:6">
      <c r="C27">
        <v>11</v>
      </c>
      <c r="D27">
        <f t="shared" si="2"/>
        <v>960.3</v>
      </c>
      <c r="E27" s="24">
        <f t="shared" si="3"/>
        <v>152.04749999999999</v>
      </c>
      <c r="F27" s="24">
        <f t="shared" si="4"/>
        <v>132.06535352999998</v>
      </c>
    </row>
    <row r="28" spans="3:6">
      <c r="C28">
        <v>12</v>
      </c>
      <c r="D28">
        <f t="shared" si="2"/>
        <v>1047.5999999999999</v>
      </c>
      <c r="E28" s="24">
        <f t="shared" si="3"/>
        <v>165.86999999999998</v>
      </c>
      <c r="F28" s="24">
        <f t="shared" si="4"/>
        <v>144.07129475999997</v>
      </c>
    </row>
    <row r="29" spans="3:6">
      <c r="C29">
        <v>13</v>
      </c>
      <c r="D29">
        <f t="shared" si="2"/>
        <v>1134.8999999999999</v>
      </c>
      <c r="E29" s="24">
        <f t="shared" si="3"/>
        <v>179.69249999999997</v>
      </c>
      <c r="F29" s="24">
        <f t="shared" si="4"/>
        <v>156.07723598999999</v>
      </c>
    </row>
    <row r="30" spans="3:6">
      <c r="C30">
        <v>14</v>
      </c>
      <c r="D30">
        <f t="shared" si="2"/>
        <v>1222.1999999999998</v>
      </c>
      <c r="E30" s="24">
        <f t="shared" si="3"/>
        <v>193.51499999999996</v>
      </c>
      <c r="F30" s="24">
        <f t="shared" si="4"/>
        <v>168.08317721999998</v>
      </c>
    </row>
    <row r="31" spans="3:6">
      <c r="C31">
        <v>15</v>
      </c>
      <c r="D31">
        <f t="shared" si="2"/>
        <v>1309.5</v>
      </c>
      <c r="E31" s="24">
        <f t="shared" si="3"/>
        <v>207.33749999999998</v>
      </c>
      <c r="F31" s="24">
        <f t="shared" si="4"/>
        <v>180.08911845</v>
      </c>
    </row>
    <row r="32" spans="3:6">
      <c r="C32">
        <v>16</v>
      </c>
      <c r="D32">
        <f t="shared" si="2"/>
        <v>1396.8</v>
      </c>
      <c r="E32" s="24">
        <f t="shared" si="3"/>
        <v>221.16</v>
      </c>
      <c r="F32" s="24">
        <f t="shared" si="4"/>
        <v>192.09505967999999</v>
      </c>
    </row>
    <row r="33" spans="3:6">
      <c r="C33">
        <v>17</v>
      </c>
      <c r="D33">
        <f t="shared" si="2"/>
        <v>1484.1</v>
      </c>
      <c r="E33" s="24">
        <f t="shared" si="3"/>
        <v>234.98249999999999</v>
      </c>
      <c r="F33" s="24">
        <f t="shared" si="4"/>
        <v>204.10100090999998</v>
      </c>
    </row>
    <row r="34" spans="3:6">
      <c r="C34">
        <v>18</v>
      </c>
      <c r="D34">
        <f t="shared" si="2"/>
        <v>1571.3999999999999</v>
      </c>
      <c r="E34" s="24">
        <f t="shared" si="3"/>
        <v>248.80499999999998</v>
      </c>
      <c r="F34" s="24">
        <f t="shared" si="4"/>
        <v>216.10694213999997</v>
      </c>
    </row>
    <row r="35" spans="3:6">
      <c r="C35">
        <v>19</v>
      </c>
      <c r="D35">
        <f t="shared" si="2"/>
        <v>1658.6999999999998</v>
      </c>
      <c r="E35" s="24">
        <f t="shared" si="3"/>
        <v>262.62749999999994</v>
      </c>
      <c r="F35" s="24">
        <f t="shared" si="4"/>
        <v>228.11288336999996</v>
      </c>
    </row>
    <row r="36" spans="3:6">
      <c r="C36">
        <v>20</v>
      </c>
      <c r="D36">
        <f t="shared" si="2"/>
        <v>1746</v>
      </c>
      <c r="E36" s="24">
        <f t="shared" si="3"/>
        <v>276.45</v>
      </c>
      <c r="F36" s="24">
        <f t="shared" si="4"/>
        <v>240.11882459999998</v>
      </c>
    </row>
    <row r="37" spans="3:6">
      <c r="C37">
        <v>21</v>
      </c>
      <c r="D37">
        <f t="shared" si="2"/>
        <v>1833.3</v>
      </c>
      <c r="E37" s="24">
        <f t="shared" si="3"/>
        <v>290.27249999999998</v>
      </c>
      <c r="F37" s="24">
        <f t="shared" si="4"/>
        <v>252.12476583</v>
      </c>
    </row>
    <row r="38" spans="3:6">
      <c r="C38">
        <v>22</v>
      </c>
      <c r="D38">
        <f t="shared" si="2"/>
        <v>1920.6</v>
      </c>
      <c r="E38" s="24">
        <f t="shared" si="3"/>
        <v>304.09499999999997</v>
      </c>
      <c r="F38" s="24">
        <f t="shared" si="4"/>
        <v>264.13070705999996</v>
      </c>
    </row>
    <row r="39" spans="3:6">
      <c r="C39">
        <v>23</v>
      </c>
      <c r="D39">
        <f t="shared" si="2"/>
        <v>2007.8999999999999</v>
      </c>
      <c r="E39" s="24">
        <f t="shared" si="3"/>
        <v>317.91749999999996</v>
      </c>
      <c r="F39" s="24">
        <f t="shared" si="4"/>
        <v>276.13664828999998</v>
      </c>
    </row>
    <row r="40" spans="3:6">
      <c r="C40">
        <v>24</v>
      </c>
      <c r="D40">
        <f t="shared" si="2"/>
        <v>2095.1999999999998</v>
      </c>
      <c r="E40" s="24">
        <f t="shared" si="3"/>
        <v>331.73999999999995</v>
      </c>
      <c r="F40" s="24">
        <f t="shared" si="4"/>
        <v>288.14258951999994</v>
      </c>
    </row>
    <row r="41" spans="3:6">
      <c r="C41">
        <v>25</v>
      </c>
      <c r="D41">
        <f t="shared" si="2"/>
        <v>2182.4999999999995</v>
      </c>
      <c r="E41" s="24">
        <f t="shared" si="3"/>
        <v>345.56249999999989</v>
      </c>
      <c r="F41" s="24">
        <f t="shared" si="4"/>
        <v>300.14853074999991</v>
      </c>
    </row>
    <row r="42" spans="3:6">
      <c r="C42">
        <v>26</v>
      </c>
      <c r="D42">
        <f t="shared" si="2"/>
        <v>2269.7999999999997</v>
      </c>
      <c r="E42" s="24">
        <f t="shared" si="3"/>
        <v>359.38499999999993</v>
      </c>
      <c r="F42" s="24">
        <f t="shared" si="4"/>
        <v>312.15447197999998</v>
      </c>
    </row>
    <row r="43" spans="3:6">
      <c r="C43">
        <v>27</v>
      </c>
      <c r="D43">
        <f t="shared" si="2"/>
        <v>2357.1</v>
      </c>
      <c r="E43" s="24">
        <f t="shared" si="3"/>
        <v>373.20749999999998</v>
      </c>
      <c r="F43" s="24">
        <f t="shared" si="4"/>
        <v>324.16041321</v>
      </c>
    </row>
    <row r="44" spans="3:6">
      <c r="C44">
        <v>28</v>
      </c>
      <c r="D44">
        <f t="shared" si="2"/>
        <v>2444.3999999999996</v>
      </c>
      <c r="E44" s="24">
        <f t="shared" si="3"/>
        <v>387.02999999999992</v>
      </c>
      <c r="F44" s="24">
        <f t="shared" si="4"/>
        <v>336.16635443999996</v>
      </c>
    </row>
    <row r="45" spans="3:6">
      <c r="C45">
        <v>29</v>
      </c>
      <c r="D45">
        <f t="shared" si="2"/>
        <v>2531.6999999999998</v>
      </c>
      <c r="E45" s="24">
        <f t="shared" si="3"/>
        <v>400.85249999999996</v>
      </c>
      <c r="F45" s="24">
        <f t="shared" si="4"/>
        <v>348.17229566999998</v>
      </c>
    </row>
    <row r="46" spans="3:6">
      <c r="C46">
        <v>30</v>
      </c>
      <c r="D46">
        <f t="shared" si="2"/>
        <v>2619</v>
      </c>
      <c r="E46" s="24">
        <f t="shared" si="3"/>
        <v>414.67499999999995</v>
      </c>
      <c r="F46" s="24">
        <f t="shared" si="4"/>
        <v>360.1782369</v>
      </c>
    </row>
    <row r="47" spans="3:6">
      <c r="C47">
        <v>31</v>
      </c>
      <c r="D47">
        <f t="shared" si="2"/>
        <v>2706.2999999999997</v>
      </c>
      <c r="E47" s="24">
        <f t="shared" si="3"/>
        <v>428.49749999999995</v>
      </c>
      <c r="F47" s="24">
        <f t="shared" si="4"/>
        <v>372.18417812999996</v>
      </c>
    </row>
    <row r="48" spans="3:6">
      <c r="C48">
        <v>32</v>
      </c>
      <c r="D48">
        <f t="shared" si="2"/>
        <v>2793.6</v>
      </c>
      <c r="E48" s="24">
        <f t="shared" si="3"/>
        <v>442.32</v>
      </c>
      <c r="F48" s="24">
        <f t="shared" si="4"/>
        <v>384.19011935999998</v>
      </c>
    </row>
    <row r="49" spans="3:6">
      <c r="C49">
        <v>33</v>
      </c>
      <c r="D49">
        <f t="shared" si="2"/>
        <v>2880.8999999999996</v>
      </c>
      <c r="E49" s="24">
        <f t="shared" si="3"/>
        <v>456.14249999999993</v>
      </c>
      <c r="F49" s="24">
        <f t="shared" si="4"/>
        <v>396.19606058999995</v>
      </c>
    </row>
    <row r="50" spans="3:6">
      <c r="C50">
        <v>34</v>
      </c>
      <c r="D50">
        <f t="shared" si="2"/>
        <v>2968.2</v>
      </c>
      <c r="E50" s="24">
        <f t="shared" si="3"/>
        <v>469.96499999999997</v>
      </c>
      <c r="F50" s="24">
        <f t="shared" si="4"/>
        <v>408.20200181999996</v>
      </c>
    </row>
    <row r="51" spans="3:6">
      <c r="C51">
        <v>35</v>
      </c>
      <c r="D51">
        <f t="shared" si="2"/>
        <v>3055.5</v>
      </c>
      <c r="E51" s="24">
        <f t="shared" si="3"/>
        <v>483.78749999999997</v>
      </c>
      <c r="F51" s="24">
        <f t="shared" si="4"/>
        <v>420.20794304999998</v>
      </c>
    </row>
    <row r="52" spans="3:6">
      <c r="C52">
        <v>36</v>
      </c>
      <c r="D52">
        <f t="shared" si="2"/>
        <v>3142.7999999999997</v>
      </c>
      <c r="E52" s="24">
        <f t="shared" si="3"/>
        <v>497.60999999999996</v>
      </c>
      <c r="F52" s="24">
        <f t="shared" si="4"/>
        <v>432.21388427999995</v>
      </c>
    </row>
    <row r="53" spans="3:6">
      <c r="C53">
        <v>37</v>
      </c>
      <c r="D53">
        <f t="shared" si="2"/>
        <v>3230.1</v>
      </c>
      <c r="E53" s="24">
        <f t="shared" si="3"/>
        <v>511.43249999999995</v>
      </c>
      <c r="F53" s="24">
        <f t="shared" si="4"/>
        <v>444.21982550999996</v>
      </c>
    </row>
    <row r="54" spans="3:6">
      <c r="C54">
        <v>38</v>
      </c>
      <c r="D54">
        <f t="shared" si="2"/>
        <v>3317.3999999999996</v>
      </c>
      <c r="E54" s="24">
        <f t="shared" si="3"/>
        <v>525.25499999999988</v>
      </c>
      <c r="F54" s="24">
        <f t="shared" si="4"/>
        <v>456.22576673999993</v>
      </c>
    </row>
    <row r="55" spans="3:6">
      <c r="C55">
        <v>39</v>
      </c>
      <c r="D55">
        <f t="shared" si="2"/>
        <v>3404.7</v>
      </c>
      <c r="E55" s="24">
        <f t="shared" si="3"/>
        <v>539.07749999999999</v>
      </c>
      <c r="F55" s="24">
        <f t="shared" si="4"/>
        <v>468.23170796999995</v>
      </c>
    </row>
    <row r="56" spans="3:6">
      <c r="C56">
        <v>40</v>
      </c>
      <c r="D56">
        <f t="shared" si="2"/>
        <v>3492</v>
      </c>
      <c r="E56" s="24">
        <f t="shared" si="3"/>
        <v>552.9</v>
      </c>
      <c r="F56" s="24">
        <f t="shared" si="4"/>
        <v>480.23764919999996</v>
      </c>
    </row>
    <row r="57" spans="3:6">
      <c r="C57">
        <v>41</v>
      </c>
      <c r="D57">
        <f t="shared" si="2"/>
        <v>3579.2999999999997</v>
      </c>
      <c r="E57" s="24">
        <f t="shared" si="3"/>
        <v>566.72249999999997</v>
      </c>
      <c r="F57" s="24">
        <f t="shared" si="4"/>
        <v>492.24359042999993</v>
      </c>
    </row>
    <row r="58" spans="3:6">
      <c r="C58">
        <v>42</v>
      </c>
      <c r="D58">
        <f t="shared" si="2"/>
        <v>3666.6</v>
      </c>
      <c r="E58" s="24">
        <f t="shared" si="3"/>
        <v>580.54499999999996</v>
      </c>
      <c r="F58" s="24">
        <f t="shared" si="4"/>
        <v>504.24953166</v>
      </c>
    </row>
    <row r="59" spans="3:6">
      <c r="C59">
        <v>43</v>
      </c>
      <c r="D59">
        <f t="shared" si="2"/>
        <v>3753.8999999999996</v>
      </c>
      <c r="E59" s="24">
        <f t="shared" si="3"/>
        <v>594.36749999999995</v>
      </c>
      <c r="F59" s="24">
        <f t="shared" si="4"/>
        <v>516.25547288999996</v>
      </c>
    </row>
    <row r="60" spans="3:6">
      <c r="C60">
        <v>44</v>
      </c>
      <c r="D60">
        <f t="shared" si="2"/>
        <v>3841.2</v>
      </c>
      <c r="E60" s="24">
        <f t="shared" si="3"/>
        <v>608.18999999999994</v>
      </c>
      <c r="F60" s="24">
        <f t="shared" si="4"/>
        <v>528.26141411999993</v>
      </c>
    </row>
    <row r="61" spans="3:6">
      <c r="C61">
        <v>45</v>
      </c>
      <c r="D61">
        <f t="shared" si="2"/>
        <v>3928.4999999999995</v>
      </c>
      <c r="E61" s="24">
        <f t="shared" si="3"/>
        <v>622.01249999999993</v>
      </c>
      <c r="F61" s="24">
        <f t="shared" si="4"/>
        <v>540.26735534999989</v>
      </c>
    </row>
    <row r="62" spans="3:6">
      <c r="C62">
        <v>46</v>
      </c>
      <c r="D62">
        <f t="shared" si="2"/>
        <v>4015.7999999999997</v>
      </c>
      <c r="E62" s="24">
        <f t="shared" si="3"/>
        <v>635.83499999999992</v>
      </c>
      <c r="F62" s="24">
        <f t="shared" si="4"/>
        <v>552.27329657999996</v>
      </c>
    </row>
    <row r="63" spans="3:6">
      <c r="C63">
        <v>47</v>
      </c>
      <c r="D63">
        <f t="shared" si="2"/>
        <v>4103.0999999999995</v>
      </c>
      <c r="E63" s="24">
        <f t="shared" si="3"/>
        <v>649.65749999999991</v>
      </c>
      <c r="F63" s="24">
        <f t="shared" si="4"/>
        <v>564.27923780999993</v>
      </c>
    </row>
    <row r="64" spans="3:6">
      <c r="C64">
        <v>48</v>
      </c>
      <c r="D64">
        <f t="shared" si="2"/>
        <v>4190.3999999999996</v>
      </c>
      <c r="E64" s="24">
        <f t="shared" si="3"/>
        <v>663.4799999999999</v>
      </c>
      <c r="F64" s="24">
        <f t="shared" si="4"/>
        <v>576.28517903999989</v>
      </c>
    </row>
    <row r="65" spans="3:6">
      <c r="C65">
        <v>49</v>
      </c>
      <c r="D65">
        <f t="shared" si="2"/>
        <v>4277.7</v>
      </c>
      <c r="E65" s="24">
        <f t="shared" si="3"/>
        <v>677.3024999999999</v>
      </c>
      <c r="F65" s="24">
        <f t="shared" si="4"/>
        <v>588.29112026999996</v>
      </c>
    </row>
    <row r="66" spans="3:6">
      <c r="C66">
        <v>50</v>
      </c>
      <c r="D66">
        <f t="shared" si="2"/>
        <v>4364.9999999999991</v>
      </c>
      <c r="E66" s="24">
        <f t="shared" si="3"/>
        <v>691.12499999999977</v>
      </c>
      <c r="F66" s="24">
        <f t="shared" si="4"/>
        <v>600.29706149999981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5017EE-9109-44ED-AFF4-A16F2394920C}">
  <sheetPr codeName="Sheet1"/>
  <dimension ref="A1:F33"/>
  <sheetViews>
    <sheetView tabSelected="1" zoomScale="70" zoomScaleNormal="70" workbookViewId="0">
      <selection activeCell="D11" sqref="D11"/>
    </sheetView>
  </sheetViews>
  <sheetFormatPr defaultColWidth="8.7109375" defaultRowHeight="15"/>
  <cols>
    <col min="1" max="1" width="3.42578125" style="1" customWidth="1"/>
    <col min="2" max="2" width="7.85546875" style="1" customWidth="1"/>
    <col min="3" max="3" width="103.7109375" style="1" customWidth="1"/>
    <col min="4" max="4" width="65.42578125" style="1" customWidth="1"/>
    <col min="5" max="5" width="5.140625" style="1" customWidth="1"/>
    <col min="6" max="6" width="8.7109375" style="1" hidden="1" customWidth="1"/>
    <col min="7" max="16384" width="8.7109375" style="1"/>
  </cols>
  <sheetData>
    <row r="1" spans="1:6" ht="46.9" customHeight="1">
      <c r="C1" s="21" t="s">
        <v>6</v>
      </c>
    </row>
    <row r="2" spans="1:6" ht="23.25">
      <c r="A2" s="3"/>
      <c r="B2" s="3"/>
      <c r="C2" s="4" t="s">
        <v>19</v>
      </c>
      <c r="D2" s="4" t="s">
        <v>4</v>
      </c>
      <c r="E2" s="4"/>
      <c r="F2" s="27">
        <v>2</v>
      </c>
    </row>
    <row r="3" spans="1:6" ht="18.75">
      <c r="A3" s="3"/>
      <c r="B3" s="14"/>
      <c r="C3" s="15" t="s">
        <v>12</v>
      </c>
      <c r="D3" s="16" t="s">
        <v>2</v>
      </c>
      <c r="E3" s="5"/>
      <c r="F3" s="28" t="b">
        <f>IF(F2=1,TRUE,FALSE)</f>
        <v>0</v>
      </c>
    </row>
    <row r="4" spans="1:6" ht="18.75">
      <c r="A4" s="3"/>
      <c r="B4" s="17"/>
      <c r="C4" s="20" t="s">
        <v>26</v>
      </c>
      <c r="D4" s="19"/>
      <c r="E4" s="5"/>
      <c r="F4" s="28"/>
    </row>
    <row r="5" spans="1:6" ht="18.75">
      <c r="A5" s="3"/>
      <c r="B5" s="14"/>
      <c r="C5" s="15" t="s">
        <v>13</v>
      </c>
      <c r="D5" s="16" t="s">
        <v>3</v>
      </c>
      <c r="E5" s="5"/>
      <c r="F5" s="28" t="b">
        <f>IF(F2=2,TRUE,FALSE)</f>
        <v>1</v>
      </c>
    </row>
    <row r="6" spans="1:6" ht="18.75">
      <c r="A6" s="3"/>
      <c r="B6" s="17"/>
      <c r="C6" s="18" t="s">
        <v>27</v>
      </c>
      <c r="D6" s="19"/>
      <c r="E6" s="5"/>
      <c r="F6" s="28"/>
    </row>
    <row r="7" spans="1:6" ht="18.75">
      <c r="A7" s="3"/>
      <c r="B7" s="14"/>
      <c r="C7" s="31" t="s">
        <v>20</v>
      </c>
      <c r="D7" s="33">
        <v>0</v>
      </c>
      <c r="E7" s="5"/>
      <c r="F7" s="28" t="b">
        <f>IF(F2=3,TRUE,FALSE)</f>
        <v>0</v>
      </c>
    </row>
    <row r="8" spans="1:6" ht="18.75">
      <c r="A8" s="3"/>
      <c r="B8" s="17"/>
      <c r="C8" s="32"/>
      <c r="D8" s="34"/>
      <c r="E8" s="5"/>
      <c r="F8" s="2"/>
    </row>
    <row r="9" spans="1:6" ht="18.75">
      <c r="A9" s="3"/>
      <c r="B9" s="3"/>
      <c r="C9" s="5"/>
      <c r="D9" s="5"/>
      <c r="E9" s="5"/>
      <c r="F9" s="2"/>
    </row>
    <row r="11" spans="1:6" ht="23.25">
      <c r="A11" s="3"/>
      <c r="B11" s="3"/>
      <c r="C11" s="4" t="s">
        <v>18</v>
      </c>
      <c r="D11" s="29">
        <v>40</v>
      </c>
      <c r="E11" s="6"/>
    </row>
    <row r="12" spans="1:6">
      <c r="A12" s="3"/>
      <c r="B12" s="3"/>
      <c r="C12" s="3"/>
      <c r="D12" s="3"/>
      <c r="E12" s="3"/>
    </row>
    <row r="13" spans="1:6">
      <c r="A13" s="3"/>
      <c r="B13" s="3"/>
      <c r="C13" s="3"/>
      <c r="D13" s="3"/>
      <c r="E13" s="3"/>
    </row>
    <row r="14" spans="1:6">
      <c r="A14" s="3"/>
      <c r="B14" s="3"/>
      <c r="C14" s="3"/>
      <c r="D14" s="3"/>
      <c r="E14" s="3"/>
    </row>
    <row r="15" spans="1:6">
      <c r="A15" s="3"/>
      <c r="B15" s="3"/>
      <c r="C15" s="3" t="s">
        <v>14</v>
      </c>
      <c r="D15" s="3"/>
      <c r="E15" s="3"/>
    </row>
    <row r="17" spans="1:5" ht="28.5">
      <c r="A17" s="7"/>
      <c r="B17" s="7"/>
      <c r="C17" s="10" t="s">
        <v>5</v>
      </c>
      <c r="D17" s="11">
        <f>D21-(D19+D20)</f>
        <v>18.495684133333384</v>
      </c>
      <c r="E17" s="7"/>
    </row>
    <row r="18" spans="1:5">
      <c r="A18" s="7"/>
      <c r="B18" s="7"/>
      <c r="C18" s="12" t="s">
        <v>21</v>
      </c>
      <c r="D18" s="7"/>
      <c r="E18" s="7"/>
    </row>
    <row r="19" spans="1:5" ht="18.75">
      <c r="A19" s="7"/>
      <c r="B19" s="7"/>
      <c r="C19" s="8" t="s">
        <v>15</v>
      </c>
      <c r="D19" s="9">
        <f>vstupy!F6</f>
        <v>54.166666666666671</v>
      </c>
      <c r="E19" s="7"/>
    </row>
    <row r="20" spans="1:5" ht="18.75">
      <c r="A20" s="7"/>
      <c r="B20" s="7"/>
      <c r="C20" s="8" t="s">
        <v>16</v>
      </c>
      <c r="D20" s="9">
        <f>VLOOKUP(D11,vstupy!C17:F66,4)</f>
        <v>480.23764919999996</v>
      </c>
      <c r="E20" s="7"/>
    </row>
    <row r="21" spans="1:5" ht="18.75">
      <c r="A21" s="7"/>
      <c r="B21" s="7"/>
      <c r="C21" s="8" t="s">
        <v>7</v>
      </c>
      <c r="D21" s="9">
        <f>VLOOKUP(D11,vstupy!C17:E66,3,0)</f>
        <v>552.9</v>
      </c>
      <c r="E21" s="7"/>
    </row>
    <row r="22" spans="1:5" ht="54" customHeight="1">
      <c r="A22" s="7"/>
      <c r="B22" s="7"/>
      <c r="C22" s="13" t="s">
        <v>11</v>
      </c>
      <c r="D22" s="9"/>
      <c r="E22" s="7"/>
    </row>
    <row r="23" spans="1:5">
      <c r="A23" s="7"/>
      <c r="B23" s="7"/>
      <c r="C23" s="7"/>
      <c r="D23" s="7"/>
      <c r="E23" s="7"/>
    </row>
    <row r="25" spans="1:5">
      <c r="B25" s="1" t="s">
        <v>8</v>
      </c>
      <c r="C25" s="1" t="s">
        <v>17</v>
      </c>
    </row>
    <row r="26" spans="1:5">
      <c r="B26" s="1" t="s">
        <v>9</v>
      </c>
      <c r="C26" s="1" t="str">
        <f>"priemerný náklad na kWh vo výške " &amp;vstupy!C8&amp;" EUR"</f>
        <v>priemerný náklad na kWh vo výške 0,1229 EUR</v>
      </c>
    </row>
    <row r="27" spans="1:5">
      <c r="B27" s="1" t="s">
        <v>10</v>
      </c>
      <c r="C27" s="1" t="str">
        <f>"priemerný výnos z kWh vo výške "&amp;vstupy!C9&amp;" EUR"</f>
        <v>priemerný výnos z kWh vo výške 0,38 EUR</v>
      </c>
    </row>
    <row r="29" spans="1:5" ht="28.5">
      <c r="A29" s="7"/>
      <c r="B29" s="7"/>
      <c r="C29" s="10" t="s">
        <v>22</v>
      </c>
      <c r="D29" s="7"/>
      <c r="E29" s="7"/>
    </row>
    <row r="30" spans="1:5" ht="18.75">
      <c r="A30" s="7"/>
      <c r="B30" s="7"/>
      <c r="C30" s="22" t="s">
        <v>23</v>
      </c>
      <c r="D30" s="7"/>
      <c r="E30" s="7"/>
    </row>
    <row r="31" spans="1:5" ht="18.75">
      <c r="A31" s="7"/>
      <c r="B31" s="7"/>
      <c r="C31" s="22" t="s">
        <v>24</v>
      </c>
      <c r="D31" s="7"/>
      <c r="E31" s="7"/>
    </row>
    <row r="32" spans="1:5" ht="18.75">
      <c r="A32" s="7"/>
      <c r="B32" s="7"/>
      <c r="C32" s="22" t="s">
        <v>25</v>
      </c>
      <c r="D32" s="7"/>
      <c r="E32" s="7"/>
    </row>
    <row r="33" spans="1:5">
      <c r="A33" s="7"/>
      <c r="B33" s="7"/>
      <c r="C33" s="7"/>
      <c r="D33" s="7"/>
      <c r="E33" s="7"/>
    </row>
  </sheetData>
  <sheetProtection algorithmName="SHA-512" hashValue="WRMyAaZ+zJlJQhLHXCLCwoizzYp7CVsQofZu7AvGWyO+6efm0MPQu5PArwDb3fn4NQMLNZKf7cvr7X3L5K7dqg==" saltValue="wgi1G7fG/HgtDl1DO1QmvQ==" spinCount="100000" sheet="1" selectLockedCells="1"/>
  <mergeCells count="2">
    <mergeCell ref="C7:C8"/>
    <mergeCell ref="D7:D8"/>
  </mergeCells>
  <conditionalFormatting sqref="C3:E4">
    <cfRule type="expression" dxfId="2" priority="5">
      <formula>$F$3</formula>
    </cfRule>
  </conditionalFormatting>
  <conditionalFormatting sqref="C5:D6">
    <cfRule type="expression" dxfId="1" priority="2">
      <formula>$F$5</formula>
    </cfRule>
  </conditionalFormatting>
  <conditionalFormatting sqref="C7:D7">
    <cfRule type="expression" dxfId="0" priority="1">
      <formula>$F$7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Option Button 3">
              <controlPr locked="0" defaultSize="0" autoFill="0" autoLine="0" autoPict="0">
                <anchor moveWithCells="1">
                  <from>
                    <xdr:col>1</xdr:col>
                    <xdr:colOff>209550</xdr:colOff>
                    <xdr:row>2</xdr:row>
                    <xdr:rowOff>19050</xdr:rowOff>
                  </from>
                  <to>
                    <xdr:col>3</xdr:col>
                    <xdr:colOff>4391025</xdr:colOff>
                    <xdr:row>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Option Button 6">
              <controlPr locked="0" defaultSize="0" autoFill="0" autoLine="0" autoPict="0">
                <anchor moveWithCells="1">
                  <from>
                    <xdr:col>1</xdr:col>
                    <xdr:colOff>219075</xdr:colOff>
                    <xdr:row>4</xdr:row>
                    <xdr:rowOff>9525</xdr:rowOff>
                  </from>
                  <to>
                    <xdr:col>3</xdr:col>
                    <xdr:colOff>4362450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Scroll Bar 7">
              <controlPr locked="0" defaultSize="0" autoPict="0">
                <anchor moveWithCells="1">
                  <from>
                    <xdr:col>2</xdr:col>
                    <xdr:colOff>9525</xdr:colOff>
                    <xdr:row>11</xdr:row>
                    <xdr:rowOff>47625</xdr:rowOff>
                  </from>
                  <to>
                    <xdr:col>3</xdr:col>
                    <xdr:colOff>1885950</xdr:colOff>
                    <xdr:row>13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Option Button 8">
              <controlPr locked="0" defaultSize="0" autoFill="0" autoLine="0" autoPict="0">
                <anchor moveWithCells="1">
                  <from>
                    <xdr:col>1</xdr:col>
                    <xdr:colOff>219075</xdr:colOff>
                    <xdr:row>6</xdr:row>
                    <xdr:rowOff>19050</xdr:rowOff>
                  </from>
                  <to>
                    <xdr:col>2</xdr:col>
                    <xdr:colOff>6791325</xdr:colOff>
                    <xdr:row>7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DFE2AB04E39E1408A128F1D5943859A" ma:contentTypeVersion="12" ma:contentTypeDescription="Umožňuje vytvoriť nový dokument." ma:contentTypeScope="" ma:versionID="b6621855dffe085d2f0135ea9bef3063">
  <xsd:schema xmlns:xsd="http://www.w3.org/2001/XMLSchema" xmlns:xs="http://www.w3.org/2001/XMLSchema" xmlns:p="http://schemas.microsoft.com/office/2006/metadata/properties" xmlns:ns2="e8ac6046-2b0d-46a0-90af-c0582b920781" xmlns:ns3="7cc57ac7-bd51-4e15-8cd7-292390a1e9d2" targetNamespace="http://schemas.microsoft.com/office/2006/metadata/properties" ma:root="true" ma:fieldsID="aebae39e54921e5bd91f7ad9b496dfb3" ns2:_="" ns3:_="">
    <xsd:import namespace="e8ac6046-2b0d-46a0-90af-c0582b920781"/>
    <xsd:import namespace="7cc57ac7-bd51-4e15-8cd7-292390a1e9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ac6046-2b0d-46a0-90af-c0582b9207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57ac7-bd51-4e15-8cd7-292390a1e9d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8D011B-DE5E-4A72-80A2-BF177CA875F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86748A-7B19-4AC6-8DC1-5C53D27C17A4}">
  <ds:schemaRefs>
    <ds:schemaRef ds:uri="http://www.w3.org/XML/1998/namespace"/>
    <ds:schemaRef ds:uri="http://schemas.microsoft.com/office/2006/metadata/properties"/>
    <ds:schemaRef ds:uri="e8ac6046-2b0d-46a0-90af-c0582b920781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BAEA5CA-A738-40C7-BE21-061DFD63A1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vstupy</vt:lpstr>
      <vt:lpstr>prehlad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 Czyżewski</dc:creator>
  <cp:keywords/>
  <dc:description/>
  <cp:lastModifiedBy>Veronika Holičová</cp:lastModifiedBy>
  <cp:revision/>
  <dcterms:created xsi:type="dcterms:W3CDTF">2020-10-12T08:32:28Z</dcterms:created>
  <dcterms:modified xsi:type="dcterms:W3CDTF">2020-12-01T08:49:22Z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0x0101001DFE2AB04E39E1408A128F1D5943859A</vt:lpwstr>
  </property>
</Properties>
</file>